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4cd731055d06eb03/Documents/Vandværk/Nyt vandværk/FremDigiVand/AP1 Forprojekt/Køge Kommune/Ansøgning om lånegaranti/"/>
    </mc:Choice>
  </mc:AlternateContent>
  <xr:revisionPtr revIDLastSave="0" documentId="8_{10EAE9F2-8B9F-47CA-A4B1-B0E6BE9F1EAF}" xr6:coauthVersionLast="47" xr6:coauthVersionMax="47" xr10:uidLastSave="{00000000-0000-0000-0000-000000000000}"/>
  <bookViews>
    <workbookView xWindow="-110" yWindow="-110" windowWidth="19420" windowHeight="11500" activeTab="1" xr2:uid="{08E917CC-9CCA-413B-B266-D18542D92134}"/>
  </bookViews>
  <sheets>
    <sheet name="Ark1" sheetId="1" r:id="rId1"/>
    <sheet name="Ark2" sheetId="2" r:id="rId2"/>
  </sheets>
  <definedNames>
    <definedName name="_xlnm.Print_Area" localSheetId="0">'Ark1'!$A$1:$C$39</definedName>
    <definedName name="_xlnm.Print_Area" localSheetId="1">'Ark2'!$A$1:$G$50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5" i="1" l="1"/>
  <c r="C36" i="1"/>
  <c r="C37" i="1" l="1"/>
  <c r="C15" i="1"/>
  <c r="C14" i="1"/>
  <c r="C13" i="1"/>
  <c r="C8" i="1"/>
  <c r="B10" i="1" l="1"/>
  <c r="A22" i="2" l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B15" i="2"/>
  <c r="B10" i="2"/>
  <c r="B6" i="2"/>
  <c r="C23" i="1"/>
  <c r="B12" i="2" l="1"/>
  <c r="B21" i="2" s="1"/>
  <c r="B17" i="2" l="1"/>
  <c r="C27" i="1" s="1"/>
  <c r="F21" i="2"/>
  <c r="D38" i="2" l="1"/>
  <c r="D50" i="2"/>
  <c r="D34" i="2"/>
  <c r="D46" i="2"/>
  <c r="D30" i="2"/>
  <c r="D42" i="2"/>
  <c r="D26" i="2"/>
  <c r="D49" i="2"/>
  <c r="D45" i="2"/>
  <c r="D41" i="2"/>
  <c r="D37" i="2"/>
  <c r="D33" i="2"/>
  <c r="D29" i="2"/>
  <c r="D25" i="2"/>
  <c r="D22" i="2"/>
  <c r="D48" i="2"/>
  <c r="D44" i="2"/>
  <c r="D40" i="2"/>
  <c r="D36" i="2"/>
  <c r="D32" i="2"/>
  <c r="D28" i="2"/>
  <c r="D24" i="2"/>
  <c r="D21" i="2"/>
  <c r="D47" i="2"/>
  <c r="D43" i="2"/>
  <c r="D39" i="2"/>
  <c r="D35" i="2"/>
  <c r="D31" i="2"/>
  <c r="D27" i="2"/>
  <c r="D23" i="2"/>
  <c r="E21" i="2"/>
  <c r="C21" i="2" s="1"/>
  <c r="B22" i="2" s="1"/>
  <c r="F22" i="2" s="1"/>
  <c r="E22" i="2" l="1"/>
  <c r="C22" i="2" s="1"/>
  <c r="B23" i="2" s="1"/>
  <c r="F23" i="2" s="1"/>
  <c r="E23" i="2"/>
  <c r="C23" i="2" s="1"/>
  <c r="B24" i="2" s="1"/>
  <c r="F24" i="2" s="1"/>
  <c r="E24" i="2" s="1"/>
  <c r="C24" i="2" s="1"/>
  <c r="B25" i="2" s="1"/>
  <c r="F25" i="2" s="1"/>
  <c r="E25" i="2" s="1"/>
  <c r="C25" i="2" s="1"/>
  <c r="B26" i="2" s="1"/>
  <c r="F26" i="2" s="1"/>
  <c r="E26" i="2" s="1"/>
  <c r="C26" i="2" s="1"/>
  <c r="B27" i="2" s="1"/>
  <c r="F27" i="2" s="1"/>
  <c r="E27" i="2" s="1"/>
  <c r="C27" i="2" s="1"/>
  <c r="B28" i="2" s="1"/>
  <c r="F28" i="2" l="1"/>
  <c r="E28" i="2" s="1"/>
  <c r="C28" i="2" s="1"/>
  <c r="B29" i="2" s="1"/>
  <c r="F29" i="2" l="1"/>
  <c r="E29" i="2" s="1"/>
  <c r="C29" i="2" s="1"/>
  <c r="B30" i="2" s="1"/>
  <c r="F30" i="2" l="1"/>
  <c r="E30" i="2" s="1"/>
  <c r="C30" i="2" s="1"/>
  <c r="B31" i="2" s="1"/>
  <c r="F31" i="2" l="1"/>
  <c r="E31" i="2" s="1"/>
  <c r="C31" i="2" s="1"/>
  <c r="B32" i="2" s="1"/>
  <c r="F32" i="2" l="1"/>
  <c r="E32" i="2" s="1"/>
  <c r="C32" i="2" s="1"/>
  <c r="B33" i="2" s="1"/>
  <c r="B11" i="1"/>
  <c r="C11" i="1" s="1"/>
  <c r="C17" i="1" s="1"/>
  <c r="C25" i="1" s="1"/>
  <c r="C29" i="1" s="1"/>
  <c r="C39" i="1" s="1"/>
  <c r="C31" i="1" l="1"/>
  <c r="F33" i="2"/>
  <c r="E33" i="2" s="1"/>
  <c r="C33" i="2" s="1"/>
  <c r="B34" i="2" s="1"/>
  <c r="F34" i="2" l="1"/>
  <c r="E34" i="2" s="1"/>
  <c r="C34" i="2" s="1"/>
  <c r="B35" i="2" s="1"/>
  <c r="F35" i="2" l="1"/>
  <c r="E35" i="2" s="1"/>
  <c r="C35" i="2" s="1"/>
  <c r="B36" i="2" s="1"/>
  <c r="F36" i="2" l="1"/>
  <c r="E36" i="2" s="1"/>
  <c r="C36" i="2" s="1"/>
  <c r="B37" i="2" s="1"/>
  <c r="F37" i="2" l="1"/>
  <c r="E37" i="2" s="1"/>
  <c r="C37" i="2" s="1"/>
  <c r="B38" i="2" s="1"/>
  <c r="F38" i="2" l="1"/>
  <c r="E38" i="2" s="1"/>
  <c r="C38" i="2" s="1"/>
  <c r="B39" i="2" s="1"/>
  <c r="F39" i="2" l="1"/>
  <c r="E39" i="2" s="1"/>
  <c r="C39" i="2" s="1"/>
  <c r="B40" i="2" s="1"/>
  <c r="F40" i="2" l="1"/>
  <c r="E40" i="2" s="1"/>
  <c r="C40" i="2" s="1"/>
  <c r="B41" i="2" s="1"/>
  <c r="F41" i="2" l="1"/>
  <c r="E41" i="2" s="1"/>
  <c r="C41" i="2" s="1"/>
  <c r="B42" i="2" s="1"/>
  <c r="F42" i="2" l="1"/>
  <c r="E42" i="2" s="1"/>
  <c r="C42" i="2" s="1"/>
  <c r="B43" i="2" s="1"/>
  <c r="F43" i="2" l="1"/>
  <c r="E43" i="2" s="1"/>
  <c r="C43" i="2" s="1"/>
  <c r="B44" i="2" s="1"/>
  <c r="F44" i="2" l="1"/>
  <c r="E44" i="2" s="1"/>
  <c r="C44" i="2" s="1"/>
  <c r="B45" i="2" s="1"/>
  <c r="F45" i="2" l="1"/>
  <c r="E45" i="2" s="1"/>
  <c r="C45" i="2" s="1"/>
  <c r="B46" i="2" s="1"/>
  <c r="F46" i="2" l="1"/>
  <c r="E46" i="2" s="1"/>
  <c r="C46" i="2" s="1"/>
  <c r="B47" i="2" s="1"/>
  <c r="F47" i="2" l="1"/>
  <c r="E47" i="2" s="1"/>
  <c r="C47" i="2" s="1"/>
  <c r="B48" i="2" s="1"/>
  <c r="F48" i="2" l="1"/>
  <c r="E48" i="2" s="1"/>
  <c r="C48" i="2" s="1"/>
  <c r="B49" i="2" s="1"/>
  <c r="F49" i="2" l="1"/>
  <c r="E49" i="2" s="1"/>
  <c r="C49" i="2" s="1"/>
  <c r="B50" i="2" s="1"/>
  <c r="F50" i="2" l="1"/>
  <c r="E50" i="2" s="1"/>
  <c r="C50" i="2" s="1"/>
</calcChain>
</file>

<file path=xl/sharedStrings.xml><?xml version="1.0" encoding="utf-8"?>
<sst xmlns="http://schemas.openxmlformats.org/spreadsheetml/2006/main" count="46" uniqueCount="43">
  <si>
    <t>Borup Vandværk A.m.b.A.</t>
  </si>
  <si>
    <t>Økonomisk udvikling</t>
  </si>
  <si>
    <t>Konsekvens af nyopført vandværk</t>
  </si>
  <si>
    <t>Omkostninger</t>
  </si>
  <si>
    <t>Vandværksomkostninger</t>
  </si>
  <si>
    <t>Driftsomkostninger</t>
  </si>
  <si>
    <t>heraf driftsløn</t>
  </si>
  <si>
    <t>Ledningsnet og boringer</t>
  </si>
  <si>
    <t>Produktionsomkostninger</t>
  </si>
  <si>
    <t>Administrationsomkostninger</t>
  </si>
  <si>
    <t>Personaleomkostninger</t>
  </si>
  <si>
    <t>Driftsomkostninger i alt</t>
  </si>
  <si>
    <t>Nuværende vandværk</t>
  </si>
  <si>
    <t>Styresystem</t>
  </si>
  <si>
    <t>Ledningsnet</t>
  </si>
  <si>
    <t>Stophaner</t>
  </si>
  <si>
    <t>Omkostninger primær drift</t>
  </si>
  <si>
    <t>Ny vandværk</t>
  </si>
  <si>
    <t>Tilslutning solceller mv</t>
  </si>
  <si>
    <t>Tilslutningsbidrag</t>
  </si>
  <si>
    <t>Lånebeløb</t>
  </si>
  <si>
    <t>Rente</t>
  </si>
  <si>
    <t>Garanti bidrag</t>
  </si>
  <si>
    <t>Låne varighed antal år</t>
  </si>
  <si>
    <t>Brug fra likvid behold</t>
  </si>
  <si>
    <t>Årlig ydelse</t>
  </si>
  <si>
    <t>primo</t>
  </si>
  <si>
    <t>ultimo</t>
  </si>
  <si>
    <t>ydelse</t>
  </si>
  <si>
    <t>afdrag</t>
  </si>
  <si>
    <t>rente</t>
  </si>
  <si>
    <t>Ydelser nyt vandværk</t>
  </si>
  <si>
    <t>Krav til indtægter</t>
  </si>
  <si>
    <t>Afskrivninger (opsparing til reinvestering)</t>
  </si>
  <si>
    <t>Økonomiske ramme 2023</t>
  </si>
  <si>
    <t>hertil vandafgift og moms</t>
  </si>
  <si>
    <t>Tilslutningsafgifts periodisering</t>
  </si>
  <si>
    <t>Kommende tilslutninger</t>
  </si>
  <si>
    <t>Mangler indtægtsramme</t>
  </si>
  <si>
    <t>kr.</t>
  </si>
  <si>
    <t>Borup &amp; Slimminge</t>
  </si>
  <si>
    <t>Pris ved 300.000 m3 pr. år</t>
  </si>
  <si>
    <t>Finansieringsomkostninger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</si>
</sst>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3" fontId="0" fillId="0" borderId="0" xfId="0" applyNumberFormat="1"/>
    <xf numFmtId="37" fontId="0" fillId="0" borderId="0" xfId="0" applyNumberFormat="1"/>
    <xf numFmtId="37" fontId="0" fillId="0" borderId="1" xfId="0" applyNumberFormat="1" applyBorder="1"/>
    <xf numFmtId="37" fontId="1" fillId="0" borderId="0" xfId="0" applyNumberFormat="1" applyFont="1"/>
    <xf numFmtId="3" fontId="0" fillId="0" borderId="2" xfId="0" applyNumberFormat="1" applyBorder="1"/>
    <xf numFmtId="10" fontId="0" fillId="0" borderId="0" xfId="0" applyNumberFormat="1"/>
    <xf numFmtId="10" fontId="0" fillId="0" borderId="2" xfId="0" applyNumberFormat="1" applyBorder="1"/>
    <xf numFmtId="37" fontId="1" fillId="0" borderId="1" xfId="0" applyNumberFormat="1" applyFont="1" applyBorder="1"/>
    <xf numFmtId="4" fontId="0" fillId="0" borderId="0" xfId="0" applyNumberFormat="1"/>
    <xf numFmtId="37" fontId="1" fillId="0" borderId="2" xfId="0" applyNumberFormat="1" applyFont="1" applyBorder="1"/>
    <xf numFmtId="37" fontId="0" fillId="0" borderId="1" xfId="0" applyNumberFormat="1" applyBorder="1" applyAlignment="1">
      <alignment horizontal="center"/>
    </xf>
    <xf numFmtId="0" fontId="2" fillId="0" borderId="0" xfId="0" applyFont="1"/>
    <xf numFmtId="0" fontId="0" fillId="0" borderId="0" xfId="0" applyAlignment="1">
      <alignment horizontal="right"/>
    </xf>
    <xf numFmtId="37" fontId="0" fillId="0" borderId="0" xfId="0" applyNumberFormat="1" applyAlignment="1">
      <alignment horizontal="center"/>
    </xf>
    <xf numFmtId="4" fontId="3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D53354-3D21-4C72-B636-B1449517D67C}">
  <sheetPr>
    <pageSetUpPr fitToPage="1"/>
  </sheetPr>
  <dimension ref="A1:M39"/>
  <sheetViews>
    <sheetView topLeftCell="A12" workbookViewId="0">
      <selection activeCell="C8" sqref="C8"/>
    </sheetView>
  </sheetViews>
  <sheetFormatPr defaultRowHeight="14.5" x14ac:dyDescent="0.35"/>
  <cols>
    <col min="1" max="1" width="41.54296875" customWidth="1"/>
    <col min="2" max="3" width="9.1796875" style="3"/>
    <col min="4" max="4" width="4.453125" customWidth="1"/>
    <col min="6" max="6" width="11.54296875" customWidth="1"/>
    <col min="7" max="7" width="4.1796875" customWidth="1"/>
    <col min="8" max="8" width="11" customWidth="1"/>
    <col min="9" max="9" width="11.453125" customWidth="1"/>
  </cols>
  <sheetData>
    <row r="1" spans="1:11" ht="18.5" x14ac:dyDescent="0.45">
      <c r="A1" s="13" t="s">
        <v>0</v>
      </c>
    </row>
    <row r="2" spans="1:11" ht="18.5" x14ac:dyDescent="0.45">
      <c r="A2" s="13" t="s">
        <v>1</v>
      </c>
    </row>
    <row r="3" spans="1:11" ht="18.5" x14ac:dyDescent="0.45">
      <c r="A3" s="13" t="s">
        <v>2</v>
      </c>
    </row>
    <row r="4" spans="1:11" ht="18.5" x14ac:dyDescent="0.45">
      <c r="A4" s="13"/>
      <c r="H4" s="3"/>
      <c r="I4" s="3"/>
    </row>
    <row r="5" spans="1:11" x14ac:dyDescent="0.35">
      <c r="B5" s="3" t="s">
        <v>40</v>
      </c>
    </row>
    <row r="6" spans="1:11" x14ac:dyDescent="0.35">
      <c r="B6" s="12" t="s">
        <v>39</v>
      </c>
      <c r="C6" s="12" t="s">
        <v>39</v>
      </c>
      <c r="E6" s="15"/>
      <c r="F6" s="15"/>
      <c r="H6" s="15"/>
      <c r="I6" s="15"/>
      <c r="J6" s="15"/>
      <c r="K6" s="15"/>
    </row>
    <row r="7" spans="1:11" ht="18.5" x14ac:dyDescent="0.45">
      <c r="A7" s="13" t="s">
        <v>3</v>
      </c>
    </row>
    <row r="8" spans="1:11" x14ac:dyDescent="0.35">
      <c r="A8" s="1" t="s">
        <v>8</v>
      </c>
      <c r="C8" s="3">
        <f>240270*300/260</f>
        <v>277234.61538461538</v>
      </c>
      <c r="E8" s="3"/>
      <c r="F8" s="3"/>
      <c r="I8" s="3"/>
    </row>
    <row r="9" spans="1:11" x14ac:dyDescent="0.35">
      <c r="A9" s="1" t="s">
        <v>4</v>
      </c>
      <c r="E9" s="3"/>
      <c r="F9" s="3"/>
    </row>
    <row r="10" spans="1:11" x14ac:dyDescent="0.35">
      <c r="A10" t="s">
        <v>5</v>
      </c>
      <c r="B10" s="3">
        <f>1.46*300000</f>
        <v>438000</v>
      </c>
      <c r="E10" s="3"/>
      <c r="F10" s="3"/>
      <c r="H10" s="3"/>
      <c r="I10" s="3"/>
    </row>
    <row r="11" spans="1:11" x14ac:dyDescent="0.35">
      <c r="A11" t="s">
        <v>6</v>
      </c>
      <c r="B11" s="4">
        <f>-52*4*500</f>
        <v>-104000</v>
      </c>
      <c r="C11" s="3">
        <f>SUM(B10:B11)</f>
        <v>334000</v>
      </c>
      <c r="E11" s="3"/>
      <c r="F11" s="3"/>
      <c r="H11" s="3"/>
      <c r="I11" s="3"/>
    </row>
    <row r="12" spans="1:11" x14ac:dyDescent="0.35">
      <c r="E12" s="3"/>
      <c r="F12" s="3"/>
      <c r="H12" s="3"/>
      <c r="I12" s="3"/>
    </row>
    <row r="13" spans="1:11" x14ac:dyDescent="0.35">
      <c r="A13" s="1" t="s">
        <v>7</v>
      </c>
      <c r="C13" s="3">
        <f>469000*300/260</f>
        <v>541153.84615384613</v>
      </c>
      <c r="E13" s="3"/>
      <c r="F13" s="3"/>
      <c r="H13" s="3"/>
      <c r="I13" s="3"/>
      <c r="J13" s="2"/>
      <c r="K13" s="2"/>
    </row>
    <row r="14" spans="1:11" x14ac:dyDescent="0.35">
      <c r="A14" s="1" t="s">
        <v>9</v>
      </c>
      <c r="C14" s="3">
        <f>310360*300/260</f>
        <v>358107.69230769231</v>
      </c>
      <c r="E14" s="3"/>
      <c r="F14" s="3"/>
      <c r="H14" s="3"/>
      <c r="I14" s="3"/>
      <c r="J14" s="2"/>
      <c r="K14" s="2"/>
    </row>
    <row r="15" spans="1:11" x14ac:dyDescent="0.35">
      <c r="A15" s="1" t="s">
        <v>10</v>
      </c>
      <c r="C15" s="4">
        <f>347000*300/260</f>
        <v>400384.61538461538</v>
      </c>
      <c r="E15" s="3"/>
      <c r="F15" s="3"/>
      <c r="H15" s="3"/>
      <c r="I15" s="3"/>
      <c r="J15" s="2"/>
      <c r="K15" s="2"/>
    </row>
    <row r="16" spans="1:11" x14ac:dyDescent="0.35">
      <c r="E16" s="3"/>
      <c r="F16" s="3"/>
      <c r="H16" s="3"/>
      <c r="I16" s="3"/>
      <c r="J16" s="2"/>
      <c r="K16" s="2"/>
    </row>
    <row r="17" spans="1:13" x14ac:dyDescent="0.35">
      <c r="A17" s="1" t="s">
        <v>11</v>
      </c>
      <c r="C17" s="5">
        <f>SUM(C8:C15)</f>
        <v>1910880.769230769</v>
      </c>
      <c r="E17" s="3"/>
      <c r="F17" s="5"/>
      <c r="H17" s="3"/>
      <c r="I17" s="5"/>
      <c r="J17" s="2"/>
      <c r="K17" s="2"/>
    </row>
    <row r="18" spans="1:13" x14ac:dyDescent="0.35">
      <c r="E18" s="3"/>
      <c r="F18" s="3"/>
      <c r="H18" s="3"/>
      <c r="I18" s="3"/>
      <c r="J18" s="2"/>
      <c r="K18" s="2"/>
      <c r="L18" s="14"/>
      <c r="M18" s="14"/>
    </row>
    <row r="19" spans="1:13" x14ac:dyDescent="0.35">
      <c r="A19" s="1" t="s">
        <v>33</v>
      </c>
      <c r="E19" s="3"/>
      <c r="F19" s="3"/>
      <c r="H19" s="3"/>
      <c r="I19" s="3"/>
      <c r="J19" s="2"/>
      <c r="K19" s="2"/>
    </row>
    <row r="20" spans="1:13" x14ac:dyDescent="0.35">
      <c r="A20" t="s">
        <v>12</v>
      </c>
      <c r="B20" s="3">
        <v>0</v>
      </c>
      <c r="E20" s="3"/>
      <c r="F20" s="3"/>
      <c r="H20" s="3"/>
      <c r="I20" s="3"/>
      <c r="J20" s="2"/>
      <c r="K20" s="2"/>
      <c r="L20" s="3"/>
    </row>
    <row r="21" spans="1:13" x14ac:dyDescent="0.35">
      <c r="A21" t="s">
        <v>13</v>
      </c>
      <c r="B21" s="3">
        <v>36748</v>
      </c>
      <c r="E21" s="3"/>
      <c r="F21" s="3"/>
      <c r="H21" s="3"/>
      <c r="I21" s="3"/>
      <c r="J21" s="2"/>
      <c r="K21" s="2"/>
    </row>
    <row r="22" spans="1:13" x14ac:dyDescent="0.35">
      <c r="A22" t="s">
        <v>14</v>
      </c>
      <c r="B22" s="3">
        <v>789147</v>
      </c>
      <c r="E22" s="3"/>
      <c r="F22" s="3"/>
      <c r="H22" s="3"/>
      <c r="I22" s="3"/>
      <c r="J22" s="2"/>
      <c r="K22" s="2"/>
    </row>
    <row r="23" spans="1:13" x14ac:dyDescent="0.35">
      <c r="A23" t="s">
        <v>15</v>
      </c>
      <c r="B23" s="4">
        <v>42533</v>
      </c>
      <c r="C23" s="4">
        <f>SUM(B20:B23)</f>
        <v>868428</v>
      </c>
      <c r="E23" s="3"/>
      <c r="F23" s="3"/>
      <c r="H23" s="3"/>
      <c r="I23" s="3"/>
    </row>
    <row r="24" spans="1:13" x14ac:dyDescent="0.35">
      <c r="E24" s="3"/>
      <c r="F24" s="3"/>
      <c r="H24" s="3"/>
      <c r="I24" s="3"/>
    </row>
    <row r="25" spans="1:13" s="1" customFormat="1" x14ac:dyDescent="0.35">
      <c r="A25" s="1" t="s">
        <v>16</v>
      </c>
      <c r="B25" s="5"/>
      <c r="C25" s="5">
        <f>SUM(C17:C23)</f>
        <v>2779308.769230769</v>
      </c>
      <c r="E25" s="5"/>
      <c r="F25" s="5"/>
      <c r="H25" s="5"/>
      <c r="I25" s="5"/>
    </row>
    <row r="26" spans="1:13" x14ac:dyDescent="0.35">
      <c r="C26"/>
      <c r="E26" s="3"/>
      <c r="H26" s="3"/>
    </row>
    <row r="27" spans="1:13" x14ac:dyDescent="0.35">
      <c r="A27" t="s">
        <v>31</v>
      </c>
      <c r="C27" s="4">
        <f>-'Ark2'!B17</f>
        <v>1696697.0471493124</v>
      </c>
      <c r="E27" s="3"/>
      <c r="F27" s="3"/>
      <c r="H27" s="3"/>
      <c r="I27" s="3"/>
    </row>
    <row r="28" spans="1:13" x14ac:dyDescent="0.35">
      <c r="E28" s="3"/>
      <c r="F28" s="3"/>
      <c r="H28" s="3"/>
      <c r="I28" s="3"/>
    </row>
    <row r="29" spans="1:13" s="1" customFormat="1" x14ac:dyDescent="0.35">
      <c r="A29" s="1" t="s">
        <v>32</v>
      </c>
      <c r="B29" s="5"/>
      <c r="C29" s="9">
        <f>SUM(C25:C27)</f>
        <v>4476005.8163800817</v>
      </c>
      <c r="E29" s="5"/>
      <c r="F29" s="5"/>
      <c r="H29" s="5"/>
      <c r="I29" s="5"/>
    </row>
    <row r="30" spans="1:13" x14ac:dyDescent="0.35">
      <c r="E30" s="3"/>
      <c r="F30" s="3"/>
      <c r="H30" s="3"/>
      <c r="I30" s="3"/>
    </row>
    <row r="31" spans="1:13" x14ac:dyDescent="0.35">
      <c r="A31" t="s">
        <v>41</v>
      </c>
      <c r="C31" s="10">
        <f>+C29/300000</f>
        <v>14.920019387933605</v>
      </c>
      <c r="E31" s="3"/>
      <c r="F31" s="16"/>
    </row>
    <row r="32" spans="1:13" x14ac:dyDescent="0.35">
      <c r="A32" t="s">
        <v>35</v>
      </c>
      <c r="E32" s="3"/>
      <c r="F32" s="10"/>
      <c r="H32" s="3"/>
      <c r="I32" s="3"/>
    </row>
    <row r="33" spans="1:9" x14ac:dyDescent="0.35">
      <c r="E33" s="3"/>
      <c r="F33" s="3"/>
      <c r="H33" s="3"/>
      <c r="I33" s="3"/>
    </row>
    <row r="34" spans="1:9" x14ac:dyDescent="0.35">
      <c r="A34" s="1" t="s">
        <v>34</v>
      </c>
      <c r="B34" s="5"/>
      <c r="C34" s="5">
        <v>3610663.2035651105</v>
      </c>
      <c r="E34" s="5"/>
      <c r="F34" s="5"/>
      <c r="H34" s="5"/>
      <c r="I34" s="5"/>
    </row>
    <row r="35" spans="1:9" x14ac:dyDescent="0.35">
      <c r="A35" t="s">
        <v>36</v>
      </c>
      <c r="C35" s="3">
        <f>-136685-(1369000/20)</f>
        <v>-205135</v>
      </c>
      <c r="E35" s="3"/>
      <c r="F35" s="3"/>
      <c r="H35" s="3"/>
      <c r="I35" s="3"/>
    </row>
    <row r="36" spans="1:9" x14ac:dyDescent="0.35">
      <c r="A36" t="s">
        <v>37</v>
      </c>
      <c r="B36" s="3">
        <v>7000000</v>
      </c>
      <c r="C36" s="3">
        <f>-B36/20</f>
        <v>-350000</v>
      </c>
      <c r="E36" s="3"/>
      <c r="F36" s="3"/>
      <c r="H36" s="3"/>
      <c r="I36" s="3"/>
    </row>
    <row r="37" spans="1:9" x14ac:dyDescent="0.35">
      <c r="C37" s="11">
        <f>SUM(C34:C36)</f>
        <v>3055528.2035651105</v>
      </c>
      <c r="E37" s="3"/>
      <c r="F37" s="5"/>
      <c r="H37" s="3"/>
      <c r="I37" s="5"/>
    </row>
    <row r="38" spans="1:9" x14ac:dyDescent="0.35">
      <c r="E38" s="3"/>
      <c r="F38" s="3"/>
      <c r="H38" s="3"/>
      <c r="I38" s="3"/>
    </row>
    <row r="39" spans="1:9" s="1" customFormat="1" x14ac:dyDescent="0.35">
      <c r="A39" s="1" t="s">
        <v>38</v>
      </c>
      <c r="B39" s="5"/>
      <c r="C39" s="9">
        <f>+C29-C37</f>
        <v>1420477.6128149712</v>
      </c>
      <c r="E39" s="5"/>
      <c r="F39" s="5"/>
      <c r="H39" s="5"/>
      <c r="I39" s="5"/>
    </row>
  </sheetData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C9F700-4E39-4E1C-BF5D-0542FADC5FD4}">
  <dimension ref="A1:F50"/>
  <sheetViews>
    <sheetView tabSelected="1" workbookViewId="0">
      <selection activeCell="B15" sqref="B15"/>
    </sheetView>
  </sheetViews>
  <sheetFormatPr defaultColWidth="9.1796875" defaultRowHeight="14.5" x14ac:dyDescent="0.35"/>
  <cols>
    <col min="1" max="1" width="22.81640625" style="2" customWidth="1"/>
    <col min="2" max="2" width="11.1796875" style="2" bestFit="1" customWidth="1"/>
    <col min="3" max="3" width="11.453125" style="2" customWidth="1"/>
    <col min="4" max="16384" width="9.1796875" style="2"/>
  </cols>
  <sheetData>
    <row r="1" spans="1:2" ht="18.5" x14ac:dyDescent="0.45">
      <c r="A1" s="13" t="s">
        <v>0</v>
      </c>
    </row>
    <row r="2" spans="1:2" ht="18.5" x14ac:dyDescent="0.45">
      <c r="A2" s="13" t="s">
        <v>42</v>
      </c>
    </row>
    <row r="3" spans="1:2" ht="18.5" x14ac:dyDescent="0.45">
      <c r="A3" s="13" t="s">
        <v>2</v>
      </c>
    </row>
    <row r="4" spans="1:2" x14ac:dyDescent="0.35">
      <c r="A4" s="2" t="s">
        <v>17</v>
      </c>
      <c r="B4" s="2">
        <v>42000000</v>
      </c>
    </row>
    <row r="5" spans="1:2" x14ac:dyDescent="0.35">
      <c r="A5" s="2" t="s">
        <v>18</v>
      </c>
      <c r="B5" s="2">
        <v>5000000</v>
      </c>
    </row>
    <row r="6" spans="1:2" x14ac:dyDescent="0.35">
      <c r="B6" s="6">
        <f>SUM(B4:B5)</f>
        <v>47000000</v>
      </c>
    </row>
    <row r="8" spans="1:2" x14ac:dyDescent="0.35">
      <c r="A8" s="2" t="s">
        <v>24</v>
      </c>
      <c r="B8" s="2">
        <v>2000000</v>
      </c>
    </row>
    <row r="9" spans="1:2" x14ac:dyDescent="0.35">
      <c r="A9" s="2" t="s">
        <v>19</v>
      </c>
      <c r="B9" s="2">
        <v>7000000</v>
      </c>
    </row>
    <row r="10" spans="1:2" x14ac:dyDescent="0.35">
      <c r="B10" s="6">
        <f>SUM(B8:B9)</f>
        <v>9000000</v>
      </c>
    </row>
    <row r="12" spans="1:2" x14ac:dyDescent="0.35">
      <c r="A12" s="2" t="s">
        <v>20</v>
      </c>
      <c r="B12" s="2">
        <f>+B6-B10</f>
        <v>38000000</v>
      </c>
    </row>
    <row r="13" spans="1:2" x14ac:dyDescent="0.35">
      <c r="A13" s="2" t="s">
        <v>21</v>
      </c>
      <c r="B13" s="7">
        <v>1.6E-2</v>
      </c>
    </row>
    <row r="14" spans="1:2" x14ac:dyDescent="0.35">
      <c r="A14" s="2" t="s">
        <v>22</v>
      </c>
      <c r="B14" s="7">
        <v>4.0000000000000001E-3</v>
      </c>
    </row>
    <row r="15" spans="1:2" x14ac:dyDescent="0.35">
      <c r="B15" s="8">
        <f>SUM(B13:B14)</f>
        <v>0.02</v>
      </c>
    </row>
    <row r="16" spans="1:2" x14ac:dyDescent="0.35">
      <c r="A16" s="2" t="s">
        <v>23</v>
      </c>
      <c r="B16" s="2">
        <v>30</v>
      </c>
    </row>
    <row r="17" spans="1:6" x14ac:dyDescent="0.35">
      <c r="A17" s="2" t="s">
        <v>25</v>
      </c>
      <c r="B17" s="2">
        <f>PMT(B15,B16,B12,0)</f>
        <v>-1696697.0471493124</v>
      </c>
    </row>
    <row r="20" spans="1:6" x14ac:dyDescent="0.35">
      <c r="B20" s="2" t="s">
        <v>26</v>
      </c>
      <c r="C20" s="2" t="s">
        <v>27</v>
      </c>
      <c r="D20" s="2" t="s">
        <v>28</v>
      </c>
      <c r="E20" s="2" t="s">
        <v>29</v>
      </c>
      <c r="F20" s="2" t="s">
        <v>30</v>
      </c>
    </row>
    <row r="21" spans="1:6" x14ac:dyDescent="0.35">
      <c r="A21">
        <v>2023</v>
      </c>
      <c r="B21" s="2">
        <f>+B12</f>
        <v>38000000</v>
      </c>
      <c r="C21" s="2">
        <f>+B21-E21</f>
        <v>37063302.952850685</v>
      </c>
      <c r="D21" s="2">
        <f>-$B$17</f>
        <v>1696697.0471493124</v>
      </c>
      <c r="E21" s="2">
        <f>+D21-F21</f>
        <v>936697.04714931245</v>
      </c>
      <c r="F21" s="2">
        <f>+B21*$B$15</f>
        <v>760000</v>
      </c>
    </row>
    <row r="22" spans="1:6" x14ac:dyDescent="0.35">
      <c r="A22">
        <f>+A21+1</f>
        <v>2024</v>
      </c>
      <c r="B22" s="2">
        <f>+C21</f>
        <v>37063302.952850685</v>
      </c>
      <c r="C22" s="2">
        <f>+B22-E22</f>
        <v>36107871.964758389</v>
      </c>
      <c r="D22" s="2">
        <f>-$B$17</f>
        <v>1696697.0471493124</v>
      </c>
      <c r="E22" s="2">
        <f>+D22-F22</f>
        <v>955430.98809229874</v>
      </c>
      <c r="F22" s="2">
        <f>+B22*$B$15</f>
        <v>741266.05905701371</v>
      </c>
    </row>
    <row r="23" spans="1:6" x14ac:dyDescent="0.35">
      <c r="A23">
        <f t="shared" ref="A23:A50" si="0">+A22+1</f>
        <v>2025</v>
      </c>
      <c r="B23" s="2">
        <f t="shared" ref="B23:B50" si="1">+C22</f>
        <v>36107871.964758389</v>
      </c>
      <c r="C23" s="2">
        <f t="shared" ref="C23:C50" si="2">+B23-E23</f>
        <v>35133332.356904246</v>
      </c>
      <c r="D23" s="2">
        <f t="shared" ref="D23:D50" si="3">-$B$17</f>
        <v>1696697.0471493124</v>
      </c>
      <c r="E23" s="2">
        <f t="shared" ref="E23:E50" si="4">+D23-F23</f>
        <v>974539.60785414465</v>
      </c>
      <c r="F23" s="2">
        <f t="shared" ref="F23:F50" si="5">+B23*$B$15</f>
        <v>722157.4392951678</v>
      </c>
    </row>
    <row r="24" spans="1:6" x14ac:dyDescent="0.35">
      <c r="A24">
        <f t="shared" si="0"/>
        <v>2026</v>
      </c>
      <c r="B24" s="2">
        <f t="shared" si="1"/>
        <v>35133332.356904246</v>
      </c>
      <c r="C24" s="2">
        <f t="shared" si="2"/>
        <v>34139301.956893019</v>
      </c>
      <c r="D24" s="2">
        <f t="shared" si="3"/>
        <v>1696697.0471493124</v>
      </c>
      <c r="E24" s="2">
        <f t="shared" si="4"/>
        <v>994030.40001122747</v>
      </c>
      <c r="F24" s="2">
        <f t="shared" si="5"/>
        <v>702666.64713808498</v>
      </c>
    </row>
    <row r="25" spans="1:6" x14ac:dyDescent="0.35">
      <c r="A25">
        <f t="shared" si="0"/>
        <v>2027</v>
      </c>
      <c r="B25" s="2">
        <f t="shared" si="1"/>
        <v>34139301.956893019</v>
      </c>
      <c r="C25" s="2">
        <f t="shared" si="2"/>
        <v>33125390.948881567</v>
      </c>
      <c r="D25" s="2">
        <f t="shared" si="3"/>
        <v>1696697.0471493124</v>
      </c>
      <c r="E25" s="2">
        <f t="shared" si="4"/>
        <v>1013911.008011452</v>
      </c>
      <c r="F25" s="2">
        <f t="shared" si="5"/>
        <v>682786.03913786041</v>
      </c>
    </row>
    <row r="26" spans="1:6" x14ac:dyDescent="0.35">
      <c r="A26">
        <f t="shared" si="0"/>
        <v>2028</v>
      </c>
      <c r="B26" s="2">
        <f t="shared" si="1"/>
        <v>33125390.948881567</v>
      </c>
      <c r="C26" s="2">
        <f t="shared" si="2"/>
        <v>32091201.720709886</v>
      </c>
      <c r="D26" s="2">
        <f t="shared" si="3"/>
        <v>1696697.0471493124</v>
      </c>
      <c r="E26" s="2">
        <f t="shared" si="4"/>
        <v>1034189.2281716811</v>
      </c>
      <c r="F26" s="2">
        <f t="shared" si="5"/>
        <v>662507.8189776314</v>
      </c>
    </row>
    <row r="27" spans="1:6" x14ac:dyDescent="0.35">
      <c r="A27">
        <f t="shared" si="0"/>
        <v>2029</v>
      </c>
      <c r="B27" s="2">
        <f t="shared" si="1"/>
        <v>32091201.720709886</v>
      </c>
      <c r="C27" s="2">
        <f t="shared" si="2"/>
        <v>31036328.707974773</v>
      </c>
      <c r="D27" s="2">
        <f t="shared" si="3"/>
        <v>1696697.0471493124</v>
      </c>
      <c r="E27" s="2">
        <f t="shared" si="4"/>
        <v>1054873.0127351147</v>
      </c>
      <c r="F27" s="2">
        <f t="shared" si="5"/>
        <v>641824.03441419778</v>
      </c>
    </row>
    <row r="28" spans="1:6" x14ac:dyDescent="0.35">
      <c r="A28">
        <f t="shared" si="0"/>
        <v>2030</v>
      </c>
      <c r="B28" s="2">
        <f t="shared" si="1"/>
        <v>31036328.707974773</v>
      </c>
      <c r="C28" s="2">
        <f t="shared" si="2"/>
        <v>29960358.234984957</v>
      </c>
      <c r="D28" s="2">
        <f t="shared" si="3"/>
        <v>1696697.0471493124</v>
      </c>
      <c r="E28" s="2">
        <f t="shared" si="4"/>
        <v>1075970.4729898171</v>
      </c>
      <c r="F28" s="2">
        <f t="shared" si="5"/>
        <v>620726.57415949542</v>
      </c>
    </row>
    <row r="29" spans="1:6" x14ac:dyDescent="0.35">
      <c r="A29">
        <f t="shared" si="0"/>
        <v>2031</v>
      </c>
      <c r="B29" s="2">
        <f t="shared" si="1"/>
        <v>29960358.234984957</v>
      </c>
      <c r="C29" s="2">
        <f t="shared" si="2"/>
        <v>28862868.352535345</v>
      </c>
      <c r="D29" s="2">
        <f t="shared" si="3"/>
        <v>1696697.0471493124</v>
      </c>
      <c r="E29" s="2">
        <f t="shared" si="4"/>
        <v>1097489.8824496134</v>
      </c>
      <c r="F29" s="2">
        <f t="shared" si="5"/>
        <v>599207.16469969915</v>
      </c>
    </row>
    <row r="30" spans="1:6" x14ac:dyDescent="0.35">
      <c r="A30">
        <f t="shared" si="0"/>
        <v>2032</v>
      </c>
      <c r="B30" s="2">
        <f t="shared" si="1"/>
        <v>28862868.352535345</v>
      </c>
      <c r="C30" s="2">
        <f t="shared" si="2"/>
        <v>27743428.67243674</v>
      </c>
      <c r="D30" s="2">
        <f t="shared" si="3"/>
        <v>1696697.0471493124</v>
      </c>
      <c r="E30" s="2">
        <f t="shared" si="4"/>
        <v>1119439.6800986056</v>
      </c>
      <c r="F30" s="2">
        <f t="shared" si="5"/>
        <v>577257.36705070687</v>
      </c>
    </row>
    <row r="31" spans="1:6" x14ac:dyDescent="0.35">
      <c r="A31">
        <f t="shared" si="0"/>
        <v>2033</v>
      </c>
      <c r="B31" s="2">
        <f t="shared" si="1"/>
        <v>27743428.67243674</v>
      </c>
      <c r="C31" s="2">
        <f t="shared" si="2"/>
        <v>26601600.198736161</v>
      </c>
      <c r="D31" s="2">
        <f t="shared" si="3"/>
        <v>1696697.0471493124</v>
      </c>
      <c r="E31" s="2">
        <f t="shared" si="4"/>
        <v>1141828.4737005776</v>
      </c>
      <c r="F31" s="2">
        <f t="shared" si="5"/>
        <v>554868.57344873482</v>
      </c>
    </row>
    <row r="32" spans="1:6" x14ac:dyDescent="0.35">
      <c r="A32">
        <f t="shared" si="0"/>
        <v>2034</v>
      </c>
      <c r="B32" s="2">
        <f t="shared" si="1"/>
        <v>26601600.198736161</v>
      </c>
      <c r="C32" s="2">
        <f t="shared" si="2"/>
        <v>25436935.155561574</v>
      </c>
      <c r="D32" s="2">
        <f t="shared" si="3"/>
        <v>1696697.0471493124</v>
      </c>
      <c r="E32" s="2">
        <f t="shared" si="4"/>
        <v>1164665.0431745891</v>
      </c>
      <c r="F32" s="2">
        <f t="shared" si="5"/>
        <v>532032.00397472328</v>
      </c>
    </row>
    <row r="33" spans="1:6" x14ac:dyDescent="0.35">
      <c r="A33">
        <f t="shared" si="0"/>
        <v>2035</v>
      </c>
      <c r="B33" s="2">
        <f t="shared" si="1"/>
        <v>25436935.155561574</v>
      </c>
      <c r="C33" s="2">
        <f t="shared" si="2"/>
        <v>24248976.811523493</v>
      </c>
      <c r="D33" s="2">
        <f t="shared" si="3"/>
        <v>1696697.0471493124</v>
      </c>
      <c r="E33" s="2">
        <f t="shared" si="4"/>
        <v>1187958.3440380809</v>
      </c>
      <c r="F33" s="2">
        <f t="shared" si="5"/>
        <v>508738.7031112315</v>
      </c>
    </row>
    <row r="34" spans="1:6" x14ac:dyDescent="0.35">
      <c r="A34">
        <f t="shared" si="0"/>
        <v>2036</v>
      </c>
      <c r="B34" s="2">
        <f t="shared" si="1"/>
        <v>24248976.811523493</v>
      </c>
      <c r="C34" s="2">
        <f t="shared" si="2"/>
        <v>23037259.300604649</v>
      </c>
      <c r="D34" s="2">
        <f t="shared" si="3"/>
        <v>1696697.0471493124</v>
      </c>
      <c r="E34" s="2">
        <f t="shared" si="4"/>
        <v>1211717.5109188426</v>
      </c>
      <c r="F34" s="2">
        <f t="shared" si="5"/>
        <v>484979.53623046988</v>
      </c>
    </row>
    <row r="35" spans="1:6" x14ac:dyDescent="0.35">
      <c r="A35">
        <f t="shared" si="0"/>
        <v>2037</v>
      </c>
      <c r="B35" s="2">
        <f t="shared" si="1"/>
        <v>23037259.300604649</v>
      </c>
      <c r="C35" s="2">
        <f t="shared" si="2"/>
        <v>21801307.43946743</v>
      </c>
      <c r="D35" s="2">
        <f t="shared" si="3"/>
        <v>1696697.0471493124</v>
      </c>
      <c r="E35" s="2">
        <f t="shared" si="4"/>
        <v>1235951.8611372195</v>
      </c>
      <c r="F35" s="2">
        <f t="shared" si="5"/>
        <v>460745.18601209298</v>
      </c>
    </row>
    <row r="36" spans="1:6" x14ac:dyDescent="0.35">
      <c r="A36">
        <f t="shared" si="0"/>
        <v>2038</v>
      </c>
      <c r="B36" s="2">
        <f t="shared" si="1"/>
        <v>21801307.43946743</v>
      </c>
      <c r="C36" s="2">
        <f t="shared" si="2"/>
        <v>20540636.541107465</v>
      </c>
      <c r="D36" s="2">
        <f t="shared" si="3"/>
        <v>1696697.0471493124</v>
      </c>
      <c r="E36" s="2">
        <f t="shared" si="4"/>
        <v>1260670.8983599639</v>
      </c>
      <c r="F36" s="2">
        <f t="shared" si="5"/>
        <v>436026.1487893486</v>
      </c>
    </row>
    <row r="37" spans="1:6" x14ac:dyDescent="0.35">
      <c r="A37">
        <f t="shared" si="0"/>
        <v>2039</v>
      </c>
      <c r="B37" s="2">
        <f t="shared" si="1"/>
        <v>20540636.541107465</v>
      </c>
      <c r="C37" s="2">
        <f t="shared" si="2"/>
        <v>19254752.224780302</v>
      </c>
      <c r="D37" s="2">
        <f t="shared" si="3"/>
        <v>1696697.0471493124</v>
      </c>
      <c r="E37" s="2">
        <f t="shared" si="4"/>
        <v>1285884.316327163</v>
      </c>
      <c r="F37" s="2">
        <f t="shared" si="5"/>
        <v>410812.73082214931</v>
      </c>
    </row>
    <row r="38" spans="1:6" x14ac:dyDescent="0.35">
      <c r="A38">
        <f t="shared" si="0"/>
        <v>2040</v>
      </c>
      <c r="B38" s="2">
        <f t="shared" si="1"/>
        <v>19254752.224780302</v>
      </c>
      <c r="C38" s="2">
        <f t="shared" si="2"/>
        <v>17943150.222126596</v>
      </c>
      <c r="D38" s="2">
        <f t="shared" si="3"/>
        <v>1696697.0471493124</v>
      </c>
      <c r="E38" s="2">
        <f t="shared" si="4"/>
        <v>1311602.0026537064</v>
      </c>
      <c r="F38" s="2">
        <f t="shared" si="5"/>
        <v>385095.04449560604</v>
      </c>
    </row>
    <row r="39" spans="1:6" x14ac:dyDescent="0.35">
      <c r="A39">
        <f t="shared" si="0"/>
        <v>2041</v>
      </c>
      <c r="B39" s="2">
        <f t="shared" si="1"/>
        <v>17943150.222126596</v>
      </c>
      <c r="C39" s="2">
        <f t="shared" si="2"/>
        <v>16605316.179419816</v>
      </c>
      <c r="D39" s="2">
        <f t="shared" si="3"/>
        <v>1696697.0471493124</v>
      </c>
      <c r="E39" s="2">
        <f t="shared" si="4"/>
        <v>1337834.0427067806</v>
      </c>
      <c r="F39" s="2">
        <f t="shared" si="5"/>
        <v>358863.00444253191</v>
      </c>
    </row>
    <row r="40" spans="1:6" x14ac:dyDescent="0.35">
      <c r="A40">
        <f t="shared" si="0"/>
        <v>2042</v>
      </c>
      <c r="B40" s="2">
        <f t="shared" si="1"/>
        <v>16605316.179419816</v>
      </c>
      <c r="C40" s="2">
        <f t="shared" si="2"/>
        <v>15240725.455858899</v>
      </c>
      <c r="D40" s="2">
        <f t="shared" si="3"/>
        <v>1696697.0471493124</v>
      </c>
      <c r="E40" s="2">
        <f t="shared" si="4"/>
        <v>1364590.7235609163</v>
      </c>
      <c r="F40" s="2">
        <f t="shared" si="5"/>
        <v>332106.32358839631</v>
      </c>
    </row>
    <row r="41" spans="1:6" x14ac:dyDescent="0.35">
      <c r="A41">
        <f t="shared" si="0"/>
        <v>2043</v>
      </c>
      <c r="B41" s="2">
        <f t="shared" si="1"/>
        <v>15240725.455858899</v>
      </c>
      <c r="C41" s="2">
        <f t="shared" si="2"/>
        <v>13848842.917826764</v>
      </c>
      <c r="D41" s="2">
        <f t="shared" si="3"/>
        <v>1696697.0471493124</v>
      </c>
      <c r="E41" s="2">
        <f t="shared" si="4"/>
        <v>1391882.5380321345</v>
      </c>
      <c r="F41" s="2">
        <f t="shared" si="5"/>
        <v>304814.50911717798</v>
      </c>
    </row>
    <row r="42" spans="1:6" x14ac:dyDescent="0.35">
      <c r="A42">
        <f t="shared" si="0"/>
        <v>2044</v>
      </c>
      <c r="B42" s="2">
        <f t="shared" si="1"/>
        <v>13848842.917826764</v>
      </c>
      <c r="C42" s="2">
        <f t="shared" si="2"/>
        <v>12429122.729033988</v>
      </c>
      <c r="D42" s="2">
        <f t="shared" si="3"/>
        <v>1696697.0471493124</v>
      </c>
      <c r="E42" s="2">
        <f t="shared" si="4"/>
        <v>1419720.1887927772</v>
      </c>
      <c r="F42" s="2">
        <f t="shared" si="5"/>
        <v>276976.85835653532</v>
      </c>
    </row>
    <row r="43" spans="1:6" x14ac:dyDescent="0.35">
      <c r="A43">
        <f t="shared" si="0"/>
        <v>2045</v>
      </c>
      <c r="B43" s="2">
        <f t="shared" si="1"/>
        <v>12429122.729033988</v>
      </c>
      <c r="C43" s="2">
        <f t="shared" si="2"/>
        <v>10981008.136465356</v>
      </c>
      <c r="D43" s="2">
        <f t="shared" si="3"/>
        <v>1696697.0471493124</v>
      </c>
      <c r="E43" s="2">
        <f t="shared" si="4"/>
        <v>1448114.5925686327</v>
      </c>
      <c r="F43" s="2">
        <f t="shared" si="5"/>
        <v>248582.45458067977</v>
      </c>
    </row>
    <row r="44" spans="1:6" x14ac:dyDescent="0.35">
      <c r="A44">
        <f t="shared" si="0"/>
        <v>2046</v>
      </c>
      <c r="B44" s="2">
        <f t="shared" si="1"/>
        <v>10981008.136465356</v>
      </c>
      <c r="C44" s="2">
        <f t="shared" si="2"/>
        <v>9503931.2520453501</v>
      </c>
      <c r="D44" s="2">
        <f t="shared" si="3"/>
        <v>1696697.0471493124</v>
      </c>
      <c r="E44" s="2">
        <f t="shared" si="4"/>
        <v>1477076.8844200054</v>
      </c>
      <c r="F44" s="2">
        <f t="shared" si="5"/>
        <v>219620.16272930711</v>
      </c>
    </row>
    <row r="45" spans="1:6" x14ac:dyDescent="0.35">
      <c r="A45">
        <f t="shared" si="0"/>
        <v>2047</v>
      </c>
      <c r="B45" s="2">
        <f t="shared" si="1"/>
        <v>9503931.2520453501</v>
      </c>
      <c r="C45" s="2">
        <f t="shared" si="2"/>
        <v>7997312.8299369449</v>
      </c>
      <c r="D45" s="2">
        <f t="shared" si="3"/>
        <v>1696697.0471493124</v>
      </c>
      <c r="E45" s="2">
        <f t="shared" si="4"/>
        <v>1506618.4221084055</v>
      </c>
      <c r="F45" s="2">
        <f t="shared" si="5"/>
        <v>190078.62504090701</v>
      </c>
    </row>
    <row r="46" spans="1:6" x14ac:dyDescent="0.35">
      <c r="A46">
        <f t="shared" si="0"/>
        <v>2048</v>
      </c>
      <c r="B46" s="2">
        <f t="shared" si="1"/>
        <v>7997312.8299369449</v>
      </c>
      <c r="C46" s="2">
        <f t="shared" si="2"/>
        <v>6460562.0393863712</v>
      </c>
      <c r="D46" s="2">
        <f t="shared" si="3"/>
        <v>1696697.0471493124</v>
      </c>
      <c r="E46" s="2">
        <f t="shared" si="4"/>
        <v>1536750.7905505735</v>
      </c>
      <c r="F46" s="2">
        <f t="shared" si="5"/>
        <v>159946.2565987389</v>
      </c>
    </row>
    <row r="47" spans="1:6" x14ac:dyDescent="0.35">
      <c r="A47">
        <f t="shared" si="0"/>
        <v>2049</v>
      </c>
      <c r="B47" s="2">
        <f t="shared" si="1"/>
        <v>6460562.0393863712</v>
      </c>
      <c r="C47" s="2">
        <f t="shared" si="2"/>
        <v>4893076.2330247862</v>
      </c>
      <c r="D47" s="2">
        <f t="shared" si="3"/>
        <v>1696697.0471493124</v>
      </c>
      <c r="E47" s="2">
        <f t="shared" si="4"/>
        <v>1567485.8063615849</v>
      </c>
      <c r="F47" s="2">
        <f t="shared" si="5"/>
        <v>129211.24078772742</v>
      </c>
    </row>
    <row r="48" spans="1:6" x14ac:dyDescent="0.35">
      <c r="A48">
        <f t="shared" si="0"/>
        <v>2050</v>
      </c>
      <c r="B48" s="2">
        <f t="shared" si="1"/>
        <v>4893076.2330247862</v>
      </c>
      <c r="C48" s="2">
        <f t="shared" si="2"/>
        <v>3294240.7105359696</v>
      </c>
      <c r="D48" s="2">
        <f t="shared" si="3"/>
        <v>1696697.0471493124</v>
      </c>
      <c r="E48" s="2">
        <f t="shared" si="4"/>
        <v>1598835.5224888166</v>
      </c>
      <c r="F48" s="2">
        <f t="shared" si="5"/>
        <v>97861.524660495721</v>
      </c>
    </row>
    <row r="49" spans="1:6" x14ac:dyDescent="0.35">
      <c r="A49">
        <f t="shared" si="0"/>
        <v>2051</v>
      </c>
      <c r="B49" s="2">
        <f t="shared" si="1"/>
        <v>3294240.7105359696</v>
      </c>
      <c r="C49" s="2">
        <f t="shared" si="2"/>
        <v>1663428.4775973766</v>
      </c>
      <c r="D49" s="2">
        <f t="shared" si="3"/>
        <v>1696697.0471493124</v>
      </c>
      <c r="E49" s="2">
        <f t="shared" si="4"/>
        <v>1630812.232938593</v>
      </c>
      <c r="F49" s="2">
        <f t="shared" si="5"/>
        <v>65884.8142107194</v>
      </c>
    </row>
    <row r="50" spans="1:6" x14ac:dyDescent="0.35">
      <c r="A50">
        <f t="shared" si="0"/>
        <v>2052</v>
      </c>
      <c r="B50" s="2">
        <f t="shared" si="1"/>
        <v>1663428.4775973766</v>
      </c>
      <c r="C50" s="2">
        <f t="shared" si="2"/>
        <v>1.1641532182693481E-8</v>
      </c>
      <c r="D50" s="2">
        <f t="shared" si="3"/>
        <v>1696697.0471493124</v>
      </c>
      <c r="E50" s="2">
        <f t="shared" si="4"/>
        <v>1663428.4775973649</v>
      </c>
      <c r="F50" s="2">
        <f t="shared" si="5"/>
        <v>33268.569551947534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</vt:i4>
      </vt:variant>
      <vt:variant>
        <vt:lpstr>Navngivne områder</vt:lpstr>
      </vt:variant>
      <vt:variant>
        <vt:i4>2</vt:i4>
      </vt:variant>
    </vt:vector>
  </HeadingPairs>
  <TitlesOfParts>
    <vt:vector size="4" baseType="lpstr">
      <vt:lpstr>Ark1</vt:lpstr>
      <vt:lpstr>Ark2</vt:lpstr>
      <vt:lpstr>'Ark1'!Udskriftsområde</vt:lpstr>
      <vt:lpstr>'Ark2'!Udskriftsområde</vt:lpstr>
    </vt:vector>
  </TitlesOfParts>
  <Company>Beierholm Statsautoriseret Revisionspartnerselskab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Svend Skaarup Sand</dc:creator>
  <cp:lastModifiedBy>Claus Fertin</cp:lastModifiedBy>
  <cp:lastPrinted>2021-06-03T13:45:29Z</cp:lastPrinted>
  <dcterms:created xsi:type="dcterms:W3CDTF">2021-02-09T07:10:52Z</dcterms:created>
  <dcterms:modified xsi:type="dcterms:W3CDTF">2024-02-14T10:05:41Z</dcterms:modified>
</cp:coreProperties>
</file>